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0" yWindow="0" windowWidth="15260" windowHeight="11980" activeTab="0"/>
  </bookViews>
  <sheets>
    <sheet name="clcr" sheetId="1" r:id="rId1"/>
  </sheets>
  <definedNames>
    <definedName name="_xlnm.Print_Area" localSheetId="0">'clcr'!$B$2:$I$37</definedName>
    <definedName name="CellaIniz">#REF!</definedName>
    <definedName name="InizioGrafico">#REF!</definedName>
    <definedName name="InizioGraficoBis">#REF!</definedName>
  </definedNames>
  <calcPr fullCalcOnLoad="1"/>
</workbook>
</file>

<file path=xl/comments1.xml><?xml version="1.0" encoding="utf-8"?>
<comments xmlns="http://schemas.openxmlformats.org/spreadsheetml/2006/main">
  <authors>
    <author>paddoc3</author>
  </authors>
  <commentList>
    <comment ref="A4" authorId="0">
      <text>
        <r>
          <rPr>
            <b/>
            <sz val="8"/>
            <rFont val="Tahoma"/>
            <family val="2"/>
          </rPr>
          <t>Questa cella viene gerata automaticamente digitando il sesso del paziente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<sst xmlns="http://schemas.openxmlformats.org/spreadsheetml/2006/main" count="121" uniqueCount="85">
  <si>
    <t>data</t>
  </si>
  <si>
    <t>MDRD</t>
  </si>
  <si>
    <t>maschio</t>
  </si>
  <si>
    <t>(altezza - 100) - (altezza -150)/4</t>
  </si>
  <si>
    <t>celle da riempire</t>
  </si>
  <si>
    <t>femmina</t>
  </si>
  <si>
    <t>(altezza - 100) - altezza -150/2</t>
  </si>
  <si>
    <t>Peso</t>
  </si>
  <si>
    <t>Cokcroft e Gault</t>
  </si>
  <si>
    <t xml:space="preserve">  ml/min</t>
  </si>
  <si>
    <t>adeguata per sup corporea</t>
  </si>
  <si>
    <t>Età</t>
  </si>
  <si>
    <t>peso ideale</t>
  </si>
  <si>
    <t>Creatinina</t>
  </si>
  <si>
    <t>DOQI</t>
  </si>
  <si>
    <t>Sesso</t>
  </si>
  <si>
    <t>misurata</t>
  </si>
  <si>
    <t>ALTEZZA</t>
  </si>
  <si>
    <t>gr creatinuria 24 ore</t>
  </si>
  <si>
    <t>creatinuria mg%</t>
  </si>
  <si>
    <t>se disponibile</t>
  </si>
  <si>
    <t>cc diuresi:</t>
  </si>
  <si>
    <t>gr azoturia 24 ore</t>
  </si>
  <si>
    <t>pcr</t>
  </si>
  <si>
    <t>Sup corp</t>
  </si>
  <si>
    <t>PESO IDEALE</t>
  </si>
  <si>
    <t>mg%dl</t>
  </si>
  <si>
    <t>Misurata</t>
  </si>
  <si>
    <t>V</t>
  </si>
  <si>
    <t>creatininemia</t>
  </si>
  <si>
    <t>clcr</t>
  </si>
  <si>
    <t>UUN</t>
  </si>
  <si>
    <t>PCR=</t>
  </si>
  <si>
    <t>PCR gr/kgBW</t>
  </si>
  <si>
    <t>Azoturia mg%</t>
  </si>
  <si>
    <t>equiv a:</t>
  </si>
  <si>
    <t>MDRD raccom NKF GC o LC-IDMS</t>
  </si>
  <si>
    <t>MDRD calib tradizionale</t>
  </si>
  <si>
    <t xml:space="preserve">normale </t>
  </si>
  <si>
    <t>robusta</t>
  </si>
  <si>
    <t>soggetto con corporatura</t>
  </si>
  <si>
    <t xml:space="preserve">   peso ideale </t>
  </si>
  <si>
    <t>Peso ideale BMI</t>
  </si>
  <si>
    <t xml:space="preserve">              Clearance della Creatinina corretta </t>
  </si>
  <si>
    <t>www.renalgate.it</t>
  </si>
  <si>
    <t xml:space="preserve">              Dr. Giuseppe Quintaliani</t>
  </si>
  <si>
    <t>BMI</t>
  </si>
  <si>
    <t>EPI</t>
  </si>
  <si>
    <t>Classe</t>
  </si>
  <si>
    <t>sodiuria 24 ore</t>
  </si>
  <si>
    <t>introduzione proteica stimata</t>
  </si>
  <si>
    <t>pr/kg attuali</t>
  </si>
  <si>
    <t>pr/kg Peso ideale</t>
  </si>
  <si>
    <t>stima</t>
  </si>
  <si>
    <t>gra di Sale ingerito</t>
  </si>
  <si>
    <t>proteinuria  mg%</t>
  </si>
  <si>
    <t>rischio</t>
  </si>
  <si>
    <t>proteinuria 24 ore mg</t>
  </si>
  <si>
    <t>basso</t>
  </si>
  <si>
    <t>elevato</t>
  </si>
  <si>
    <t>G1</t>
  </si>
  <si>
    <t>G2</t>
  </si>
  <si>
    <t>G3B</t>
  </si>
  <si>
    <t>g4</t>
  </si>
  <si>
    <t>g5</t>
  </si>
  <si>
    <t>Fiore</t>
  </si>
  <si>
    <t>Nome</t>
  </si>
  <si>
    <t>Prezzo</t>
  </si>
  <si>
    <t>G3A</t>
  </si>
  <si>
    <t>G4</t>
  </si>
  <si>
    <t>G5</t>
  </si>
  <si>
    <t>molto elevato</t>
  </si>
  <si>
    <t>modicamente elevato</t>
  </si>
  <si>
    <t>moderato</t>
  </si>
  <si>
    <t>severo</t>
  </si>
  <si>
    <t>gr die (da riportare eventualmente in casella c20)</t>
  </si>
  <si>
    <t>MODERATO</t>
  </si>
  <si>
    <t>CLASE</t>
  </si>
  <si>
    <t>CONFRONTA</t>
  </si>
  <si>
    <t>riga</t>
  </si>
  <si>
    <t>colonna</t>
  </si>
  <si>
    <t>ACR= album/creat: rischio</t>
  </si>
  <si>
    <t>Frequenza monitoraggio.</t>
  </si>
  <si>
    <t>Fonte NICE 2014</t>
  </si>
  <si>
    <t>Esempio1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</si>
</sst>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\ #,##0"/>
    <numFmt numFmtId="185" formatCode="0.000"/>
    <numFmt numFmtId="186" formatCode="d\-m\-yy"/>
    <numFmt numFmtId="187" formatCode="dd/mm/yy;@"/>
    <numFmt numFmtId="188" formatCode="m/d/yyyy"/>
    <numFmt numFmtId="189" formatCode="0.000000"/>
    <numFmt numFmtId="190" formatCode="0.00000"/>
    <numFmt numFmtId="191" formatCode="0.0000"/>
    <numFmt numFmtId="192" formatCode="m/d/yy"/>
    <numFmt numFmtId="193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color indexed="8"/>
      <name val="Arial"/>
      <family val="0"/>
    </font>
    <font>
      <sz val="10"/>
      <color indexed="1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33" borderId="11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2" xfId="0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85" fontId="0" fillId="0" borderId="17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" fillId="0" borderId="0" xfId="35" applyAlignment="1" applyProtection="1">
      <alignment horizontal="center" wrapText="1"/>
      <protection hidden="1"/>
    </xf>
    <xf numFmtId="2" fontId="5" fillId="0" borderId="10" xfId="0" applyNumberFormat="1" applyFont="1" applyBorder="1" applyAlignment="1" applyProtection="1" quotePrefix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1" fillId="0" borderId="0" xfId="35" applyAlignment="1" applyProtection="1">
      <alignment/>
      <protection hidden="1"/>
    </xf>
    <xf numFmtId="0" fontId="1" fillId="0" borderId="0" xfId="35" applyAlignment="1" applyProtection="1">
      <alignment/>
      <protection/>
    </xf>
    <xf numFmtId="0" fontId="1" fillId="0" borderId="0" xfId="35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7" fillId="0" borderId="10" xfId="0" applyFont="1" applyBorder="1" applyAlignment="1" applyProtection="1" quotePrefix="1">
      <alignment horizontal="center"/>
      <protection hidden="1"/>
    </xf>
    <xf numFmtId="2" fontId="5" fillId="0" borderId="0" xfId="0" applyNumberFormat="1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0" fontId="10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193" fontId="0" fillId="0" borderId="0" xfId="0" applyNumberFormat="1" applyAlignment="1">
      <alignment/>
    </xf>
    <xf numFmtId="0" fontId="35" fillId="28" borderId="1" xfId="44" applyAlignment="1">
      <alignment/>
    </xf>
    <xf numFmtId="2" fontId="5" fillId="35" borderId="0" xfId="0" applyNumberFormat="1" applyFont="1" applyFill="1" applyAlignment="1" applyProtection="1">
      <alignment/>
      <protection hidden="1"/>
    </xf>
    <xf numFmtId="0" fontId="35" fillId="28" borderId="23" xfId="44" applyBorder="1" applyAlignment="1">
      <alignment/>
    </xf>
    <xf numFmtId="193" fontId="0" fillId="0" borderId="0" xfId="0" applyNumberFormat="1" applyFill="1" applyBorder="1" applyAlignment="1">
      <alignment/>
    </xf>
    <xf numFmtId="2" fontId="0" fillId="0" borderId="0" xfId="0" applyNumberFormat="1" applyAlignment="1" applyProtection="1">
      <alignment/>
      <protection hidden="1"/>
    </xf>
    <xf numFmtId="2" fontId="47" fillId="36" borderId="0" xfId="0" applyNumberFormat="1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Alignment="1">
      <alignment horizontal="right"/>
    </xf>
    <xf numFmtId="0" fontId="3" fillId="37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</xdr:row>
      <xdr:rowOff>0</xdr:rowOff>
    </xdr:from>
    <xdr:to>
      <xdr:col>16</xdr:col>
      <xdr:colOff>542925</xdr:colOff>
      <xdr:row>4</xdr:row>
      <xdr:rowOff>9525</xdr:rowOff>
    </xdr:to>
    <xdr:sp macro="[0]!archivia">
      <xdr:nvSpPr>
        <xdr:cNvPr id="1" name="Rectangle 2"/>
        <xdr:cNvSpPr>
          <a:spLocks/>
        </xdr:cNvSpPr>
      </xdr:nvSpPr>
      <xdr:spPr>
        <a:xfrm>
          <a:off x="9134475" y="161925"/>
          <a:ext cx="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inserici nel DB</a:t>
          </a:r>
        </a:p>
      </xdr:txBody>
    </xdr:sp>
    <xdr:clientData/>
  </xdr:twoCellAnchor>
  <xdr:twoCellAnchor editAs="oneCell">
    <xdr:from>
      <xdr:col>5</xdr:col>
      <xdr:colOff>666750</xdr:colOff>
      <xdr:row>49</xdr:row>
      <xdr:rowOff>0</xdr:rowOff>
    </xdr:from>
    <xdr:to>
      <xdr:col>19</xdr:col>
      <xdr:colOff>438150</xdr:colOff>
      <xdr:row>64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5762625"/>
          <a:ext cx="37814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28575</xdr:rowOff>
    </xdr:from>
    <xdr:to>
      <xdr:col>5</xdr:col>
      <xdr:colOff>266700</xdr:colOff>
      <xdr:row>69</xdr:row>
      <xdr:rowOff>38100</xdr:rowOff>
    </xdr:to>
    <xdr:pic>
      <xdr:nvPicPr>
        <xdr:cNvPr id="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81575"/>
          <a:ext cx="539115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4</xdr:col>
      <xdr:colOff>762000</xdr:colOff>
      <xdr:row>94</xdr:row>
      <xdr:rowOff>28575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38</xdr:row>
      <xdr:rowOff>0</xdr:rowOff>
    </xdr:from>
    <xdr:to>
      <xdr:col>3</xdr:col>
      <xdr:colOff>0</xdr:colOff>
      <xdr:row>44</xdr:row>
      <xdr:rowOff>38100</xdr:rowOff>
    </xdr:to>
    <xdr:sp>
      <xdr:nvSpPr>
        <xdr:cNvPr id="5" name="Rectangle 66"/>
        <xdr:cNvSpPr>
          <a:spLocks/>
        </xdr:cNvSpPr>
      </xdr:nvSpPr>
      <xdr:spPr>
        <a:xfrm>
          <a:off x="2028825" y="4000500"/>
          <a:ext cx="904875" cy="990600"/>
        </a:xfrm>
        <a:prstGeom prst="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Normale-modesto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aumento RAC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&lt; 3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A1
</a:t>
          </a:r>
        </a:p>
      </xdr:txBody>
    </xdr:sp>
    <xdr:clientData/>
  </xdr:twoCellAnchor>
  <xdr:twoCellAnchor>
    <xdr:from>
      <xdr:col>3</xdr:col>
      <xdr:colOff>57150</xdr:colOff>
      <xdr:row>38</xdr:row>
      <xdr:rowOff>9525</xdr:rowOff>
    </xdr:from>
    <xdr:to>
      <xdr:col>3</xdr:col>
      <xdr:colOff>723900</xdr:colOff>
      <xdr:row>44</xdr:row>
      <xdr:rowOff>28575</xdr:rowOff>
    </xdr:to>
    <xdr:sp>
      <xdr:nvSpPr>
        <xdr:cNvPr id="6" name="Rectangle 67"/>
        <xdr:cNvSpPr>
          <a:spLocks/>
        </xdr:cNvSpPr>
      </xdr:nvSpPr>
      <xdr:spPr>
        <a:xfrm>
          <a:off x="2990850" y="4010025"/>
          <a:ext cx="666750" cy="971550"/>
        </a:xfrm>
        <a:prstGeom prst="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Moderato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aumento RAC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3-30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A2
</a:t>
          </a:r>
        </a:p>
      </xdr:txBody>
    </xdr:sp>
    <xdr:clientData/>
  </xdr:twoCellAnchor>
  <xdr:twoCellAnchor>
    <xdr:from>
      <xdr:col>4</xdr:col>
      <xdr:colOff>9525</xdr:colOff>
      <xdr:row>38</xdr:row>
      <xdr:rowOff>28575</xdr:rowOff>
    </xdr:from>
    <xdr:to>
      <xdr:col>4</xdr:col>
      <xdr:colOff>762000</xdr:colOff>
      <xdr:row>43</xdr:row>
      <xdr:rowOff>133350</xdr:rowOff>
    </xdr:to>
    <xdr:sp>
      <xdr:nvSpPr>
        <xdr:cNvPr id="7" name="Rectangle 68"/>
        <xdr:cNvSpPr>
          <a:spLocks/>
        </xdr:cNvSpPr>
      </xdr:nvSpPr>
      <xdr:spPr>
        <a:xfrm>
          <a:off x="3819525" y="4029075"/>
          <a:ext cx="742950" cy="895350"/>
        </a:xfrm>
        <a:prstGeom prst="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Severo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aumento RAC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&gt; 30
</a:t>
          </a: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A3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-italy.org/Comunicazioni/comunicazioni/2008/2008_12_15b.asp" TargetMode="External" /><Relationship Id="rId2" Type="http://schemas.openxmlformats.org/officeDocument/2006/relationships/hyperlink" Target="http://www.renalgate.it/" TargetMode="External" /><Relationship Id="rId3" Type="http://schemas.openxmlformats.org/officeDocument/2006/relationships/hyperlink" Target="http://www.sin-italy.org/Comunicazioni/comunicazioni/2008/2008_12_15b.as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B139"/>
  <sheetViews>
    <sheetView tabSelected="1" zoomScale="125" zoomScaleNormal="125" workbookViewId="0" topLeftCell="A1">
      <selection activeCell="C18" sqref="C18:C34"/>
    </sheetView>
  </sheetViews>
  <sheetFormatPr defaultColWidth="8.8515625" defaultRowHeight="12.75"/>
  <cols>
    <col min="1" max="1" width="18.421875" style="0" customWidth="1"/>
    <col min="2" max="2" width="11.7109375" style="0" customWidth="1"/>
    <col min="3" max="3" width="13.8515625" style="0" customWidth="1"/>
    <col min="4" max="4" width="13.140625" style="0" customWidth="1"/>
    <col min="5" max="5" width="19.7109375" style="0" customWidth="1"/>
    <col min="6" max="6" width="10.140625" style="0" bestFit="1" customWidth="1"/>
    <col min="7" max="7" width="8.8515625" style="0" customWidth="1"/>
    <col min="8" max="8" width="12.28125" style="0" customWidth="1"/>
    <col min="9" max="9" width="16.421875" style="0" customWidth="1"/>
    <col min="10" max="10" width="12.421875" style="0" customWidth="1"/>
    <col min="11" max="11" width="3.7109375" style="0" hidden="1" customWidth="1"/>
    <col min="12" max="19" width="8.8515625" style="0" hidden="1" customWidth="1"/>
    <col min="20" max="24" width="8.8515625" style="0" customWidth="1"/>
    <col min="25" max="29" width="8.8515625" style="0" hidden="1" customWidth="1"/>
  </cols>
  <sheetData>
    <row r="1" spans="2:15" ht="12.75" customHeight="1" thickBot="1" thickTop="1">
      <c r="B1" s="1"/>
      <c r="C1" s="2" t="s">
        <v>43</v>
      </c>
      <c r="E1" s="1"/>
      <c r="F1" s="1"/>
      <c r="G1" s="1"/>
      <c r="L1" s="3" t="s">
        <v>2</v>
      </c>
      <c r="M1" s="4" t="s">
        <v>3</v>
      </c>
      <c r="N1" s="4"/>
      <c r="O1" s="5" t="s">
        <v>4</v>
      </c>
    </row>
    <row r="2" spans="2:19" ht="12.75" customHeight="1" thickBot="1" thickTop="1">
      <c r="B2" s="1"/>
      <c r="C2" s="1"/>
      <c r="D2" s="46" t="s">
        <v>44</v>
      </c>
      <c r="E2" s="1"/>
      <c r="F2" s="1"/>
      <c r="G2" s="1"/>
      <c r="L2" s="3" t="s">
        <v>5</v>
      </c>
      <c r="M2" s="4" t="s">
        <v>6</v>
      </c>
      <c r="N2" s="4"/>
      <c r="O2" s="6"/>
      <c r="R2">
        <v>1</v>
      </c>
      <c r="S2" t="s">
        <v>70</v>
      </c>
    </row>
    <row r="3" spans="2:19" ht="12.75" customHeight="1" thickTop="1">
      <c r="B3" s="1"/>
      <c r="C3" s="2" t="s">
        <v>45</v>
      </c>
      <c r="E3" s="1"/>
      <c r="F3" s="1"/>
      <c r="G3" s="1"/>
      <c r="L3" s="7"/>
      <c r="M3" s="8"/>
      <c r="N3" s="8"/>
      <c r="O3" s="9"/>
      <c r="R3">
        <v>15</v>
      </c>
      <c r="S3" t="s">
        <v>69</v>
      </c>
    </row>
    <row r="4" spans="1:19" ht="12.75" customHeight="1">
      <c r="A4" s="1" t="str">
        <f>IF(B13="F","Sig.ra","Sig")</f>
        <v>Sig</v>
      </c>
      <c r="B4" s="10" t="s">
        <v>84</v>
      </c>
      <c r="C4" s="10"/>
      <c r="D4" s="2"/>
      <c r="E4" s="1"/>
      <c r="F4" s="1"/>
      <c r="G4" s="1"/>
      <c r="L4" s="7"/>
      <c r="M4" s="8"/>
      <c r="N4" s="8"/>
      <c r="O4" s="9"/>
      <c r="R4">
        <v>30</v>
      </c>
      <c r="S4" t="s">
        <v>62</v>
      </c>
    </row>
    <row r="5" spans="1:19" ht="12.75" customHeight="1">
      <c r="A5" t="s">
        <v>0</v>
      </c>
      <c r="B5" s="11"/>
      <c r="C5" s="1"/>
      <c r="D5" s="2"/>
      <c r="E5" s="1"/>
      <c r="F5" s="1"/>
      <c r="G5" s="1"/>
      <c r="L5" s="7"/>
      <c r="M5" s="8"/>
      <c r="N5" s="8"/>
      <c r="O5" s="9"/>
      <c r="R5">
        <v>45</v>
      </c>
      <c r="S5" t="s">
        <v>68</v>
      </c>
    </row>
    <row r="6" spans="2:19" ht="12.75" customHeight="1">
      <c r="B6" s="1"/>
      <c r="C6" s="1"/>
      <c r="D6" s="2"/>
      <c r="E6" s="1"/>
      <c r="F6" s="1"/>
      <c r="G6" s="1"/>
      <c r="L6" s="7"/>
      <c r="M6" s="8"/>
      <c r="N6" s="8"/>
      <c r="O6" s="9"/>
      <c r="R6">
        <v>60</v>
      </c>
      <c r="S6" t="s">
        <v>61</v>
      </c>
    </row>
    <row r="7" spans="1:19" ht="12.75" customHeight="1">
      <c r="A7" s="1"/>
      <c r="B7" s="1"/>
      <c r="C7" s="12"/>
      <c r="D7" s="1"/>
      <c r="E7" s="1"/>
      <c r="F7" s="1"/>
      <c r="G7" s="1"/>
      <c r="L7" s="13"/>
      <c r="M7" s="14"/>
      <c r="N7" s="14"/>
      <c r="R7">
        <v>90</v>
      </c>
      <c r="S7" t="s">
        <v>60</v>
      </c>
    </row>
    <row r="8" spans="1:28" ht="12.75" customHeight="1">
      <c r="A8" s="15" t="s">
        <v>7</v>
      </c>
      <c r="B8" s="16"/>
      <c r="C8" s="17" t="s">
        <v>8</v>
      </c>
      <c r="D8" s="18" t="e">
        <f>IF(OR(B13="m",B13="M"),((140-B9)*B8)/(B10*72),(((140-B9)*B8)/(B10*72))*0.85)</f>
        <v>#DIV/0!</v>
      </c>
      <c r="E8" s="50" t="s">
        <v>9</v>
      </c>
      <c r="F8" s="19" t="e">
        <f>+D8*(1.73/$B$22)</f>
        <v>#DIV/0!</v>
      </c>
      <c r="G8" s="19" t="s">
        <v>10</v>
      </c>
      <c r="H8" s="20"/>
      <c r="I8" s="20"/>
      <c r="R8">
        <v>120</v>
      </c>
      <c r="S8" t="s">
        <v>60</v>
      </c>
      <c r="AA8" t="s">
        <v>38</v>
      </c>
      <c r="AB8">
        <v>21</v>
      </c>
    </row>
    <row r="9" spans="1:28" ht="12.75" customHeight="1">
      <c r="A9" s="21" t="s">
        <v>11</v>
      </c>
      <c r="B9" s="16"/>
      <c r="C9" s="17" t="s">
        <v>8</v>
      </c>
      <c r="D9" s="18" t="e">
        <f>IF(OR(B13="m",B13="M"),((140-B9)*B24)/(B10*72),(((140-B9)*B24)/(B10*72))*0.85)</f>
        <v>#DIV/0!</v>
      </c>
      <c r="E9" s="50" t="s">
        <v>12</v>
      </c>
      <c r="F9" s="19" t="e">
        <f>+D9*(1.73/$B$22)</f>
        <v>#DIV/0!</v>
      </c>
      <c r="G9" s="19" t="s">
        <v>10</v>
      </c>
      <c r="H9" s="20"/>
      <c r="I9" s="65" t="s">
        <v>56</v>
      </c>
      <c r="L9" s="13"/>
      <c r="AA9" t="s">
        <v>39</v>
      </c>
      <c r="AB9">
        <v>23.5</v>
      </c>
    </row>
    <row r="10" spans="1:9" ht="12.75" customHeight="1">
      <c r="A10" s="21" t="s">
        <v>13</v>
      </c>
      <c r="B10" s="16"/>
      <c r="C10" s="40" t="s">
        <v>36</v>
      </c>
      <c r="D10" s="41" t="e">
        <f>IF(B13="f",175*(B10)^-1.154*B9^-0.203*0.742,175*(B10)^-1.154*B9^-0.203)</f>
        <v>#DIV/0!</v>
      </c>
      <c r="E10" s="50" t="s">
        <v>1</v>
      </c>
      <c r="F10" s="23" t="s">
        <v>48</v>
      </c>
      <c r="G10" s="48" t="e">
        <f>VLOOKUP(D10,R2:S8,2)</f>
        <v>#DIV/0!</v>
      </c>
      <c r="H10" s="45" t="s">
        <v>14</v>
      </c>
      <c r="I10" s="66"/>
    </row>
    <row r="11" spans="1:27" ht="12.75" customHeight="1">
      <c r="A11" s="21"/>
      <c r="B11" s="1"/>
      <c r="C11" s="40" t="s">
        <v>37</v>
      </c>
      <c r="D11" s="41" t="e">
        <f>IF(B13="f",186*(B10)^-1.154*B9^-0.203*0.742,186*(B10)^-1.154*B9^-0.203)</f>
        <v>#DIV/0!</v>
      </c>
      <c r="E11" s="51" t="s">
        <v>37</v>
      </c>
      <c r="F11" s="23" t="s">
        <v>48</v>
      </c>
      <c r="G11" s="48" t="e">
        <f>VLOOKUP(D11,R2:S8,2)</f>
        <v>#DIV/0!</v>
      </c>
      <c r="H11" s="45" t="s">
        <v>14</v>
      </c>
      <c r="I11" s="67" t="e">
        <f>VLOOKUP(B113,E111:F114,2)</f>
        <v>#DIV/0!</v>
      </c>
      <c r="R11">
        <v>0</v>
      </c>
      <c r="S11" t="s">
        <v>58</v>
      </c>
      <c r="AA11">
        <f>+VLOOKUP(B15,AA8:AE9,2)</f>
        <v>21</v>
      </c>
    </row>
    <row r="12" spans="1:19" ht="12.75" customHeight="1">
      <c r="A12" s="21"/>
      <c r="B12" s="1"/>
      <c r="C12" s="40"/>
      <c r="D12" s="58" t="e">
        <f>IF(B13="m",EXP(1.911+(5.249/B10)-(2.114/(B10^2))-0.00686*B9),EXP(1.911+(5.249/B10)-(2.114/(B10^2))-0.00686*B9-0.205))</f>
        <v>#DIV/0!</v>
      </c>
      <c r="E12" s="52" t="s">
        <v>47</v>
      </c>
      <c r="F12" s="23" t="s">
        <v>48</v>
      </c>
      <c r="G12" s="48" t="e">
        <f>VLOOKUP(D12,R2:S8,2)</f>
        <v>#DIV/0!</v>
      </c>
      <c r="H12" s="45" t="s">
        <v>14</v>
      </c>
      <c r="I12" s="68" t="e">
        <f>VLOOKUP(B139,E132:F135,2)</f>
        <v>#DIV/0!</v>
      </c>
      <c r="R12">
        <v>3</v>
      </c>
      <c r="S12" t="s">
        <v>73</v>
      </c>
    </row>
    <row r="13" spans="1:19" ht="12.75" customHeight="1">
      <c r="A13" s="21" t="s">
        <v>15</v>
      </c>
      <c r="B13" s="24"/>
      <c r="C13" s="22"/>
      <c r="D13" s="25" t="str">
        <f>IF(C18&lt;0.1,"Non disponibile",IF(C19&lt;0.01,"Non disponibile",C28))</f>
        <v>Non disponibile</v>
      </c>
      <c r="E13" s="50" t="s">
        <v>16</v>
      </c>
      <c r="F13" s="26" t="e">
        <f>E28</f>
        <v>#DIV/0!</v>
      </c>
      <c r="G13" s="48" t="e">
        <f>VLOOKUP(D13,R2:S8,2)</f>
        <v>#N/A</v>
      </c>
      <c r="H13" s="54" t="s">
        <v>10</v>
      </c>
      <c r="I13" s="20"/>
      <c r="R13">
        <v>31</v>
      </c>
      <c r="S13" t="s">
        <v>74</v>
      </c>
    </row>
    <row r="14" spans="1:19" ht="12.75" customHeight="1">
      <c r="A14" s="27" t="s">
        <v>17</v>
      </c>
      <c r="B14" s="16"/>
      <c r="C14" s="1"/>
      <c r="D14" s="41" t="e">
        <f>+C35/C18</f>
        <v>#DIV/0!</v>
      </c>
      <c r="E14" s="53" t="s">
        <v>81</v>
      </c>
      <c r="F14" s="1" t="e">
        <f>VLOOKUP(D14,R11:S14,2)</f>
        <v>#DIV/0!</v>
      </c>
      <c r="R14">
        <v>100</v>
      </c>
      <c r="S14" t="s">
        <v>74</v>
      </c>
    </row>
    <row r="15" spans="1:6" ht="12.75" customHeight="1">
      <c r="A15" s="42" t="s">
        <v>40</v>
      </c>
      <c r="B15" s="43" t="s">
        <v>38</v>
      </c>
      <c r="C15" s="44" t="s">
        <v>41</v>
      </c>
      <c r="D15" s="49">
        <f>+B24</f>
        <v>0</v>
      </c>
      <c r="E15" s="47" t="s">
        <v>46</v>
      </c>
      <c r="F15" s="55">
        <f>+C24</f>
        <v>0</v>
      </c>
    </row>
    <row r="16" spans="1:6" ht="12.75" customHeight="1" hidden="1" thickBot="1" thickTop="1">
      <c r="A16" s="28" t="s">
        <v>18</v>
      </c>
      <c r="B16" s="29"/>
      <c r="C16" s="5"/>
      <c r="D16" s="30"/>
      <c r="E16" s="1">
        <f>C19/100*C18/1000</f>
        <v>0</v>
      </c>
      <c r="F16" s="1"/>
    </row>
    <row r="17" spans="1:6" ht="12.75" customHeight="1">
      <c r="A17" s="28"/>
      <c r="B17" s="1"/>
      <c r="C17" s="1"/>
      <c r="D17" s="1"/>
      <c r="E17" s="1"/>
      <c r="F17" s="1"/>
    </row>
    <row r="18" spans="1:6" ht="12.75" customHeight="1">
      <c r="A18" s="28" t="s">
        <v>19</v>
      </c>
      <c r="B18" s="1" t="s">
        <v>20</v>
      </c>
      <c r="C18" s="16"/>
      <c r="D18" s="1"/>
      <c r="E18" s="1"/>
      <c r="F18" s="28"/>
    </row>
    <row r="19" spans="1:6" ht="12.75" customHeight="1">
      <c r="A19" s="28" t="s">
        <v>21</v>
      </c>
      <c r="B19" s="28"/>
      <c r="C19" s="16"/>
      <c r="D19" s="1"/>
      <c r="E19" s="47" t="s">
        <v>53</v>
      </c>
      <c r="F19" s="1" t="s">
        <v>50</v>
      </c>
    </row>
    <row r="20" spans="1:6" ht="12.75" customHeight="1">
      <c r="A20" s="28" t="s">
        <v>22</v>
      </c>
      <c r="B20" s="1"/>
      <c r="C20" s="16"/>
      <c r="D20" s="1"/>
      <c r="E20" s="22" t="s">
        <v>23</v>
      </c>
      <c r="F20" s="49" t="str">
        <f>IF(C20&lt;0.01,"Non disponibile",C32)</f>
        <v>Non disponibile</v>
      </c>
    </row>
    <row r="21" spans="1:6" ht="12.75" customHeight="1">
      <c r="A21" s="28" t="s">
        <v>49</v>
      </c>
      <c r="B21" s="1"/>
      <c r="C21" s="16"/>
      <c r="D21" s="1"/>
      <c r="E21" s="1" t="s">
        <v>51</v>
      </c>
      <c r="F21" s="49" t="str">
        <f>IF(C20&lt;0.01,"Non disponibile",+C33)</f>
        <v>Non disponibile</v>
      </c>
    </row>
    <row r="22" spans="1:7" ht="12.75" customHeight="1" hidden="1" thickTop="1">
      <c r="A22" s="31" t="s">
        <v>24</v>
      </c>
      <c r="B22" s="32">
        <f>+(B8^0.425*B14^0.725*71.84)/10000</f>
        <v>0</v>
      </c>
      <c r="C22" s="33"/>
      <c r="D22" s="1"/>
      <c r="E22" s="1"/>
      <c r="F22" s="61"/>
      <c r="G22" s="1"/>
    </row>
    <row r="23" spans="1:7" ht="12.75" customHeight="1" hidden="1" thickBot="1">
      <c r="A23" s="34" t="s">
        <v>25</v>
      </c>
      <c r="B23" s="35">
        <f>IF(B13="M",(B14-100)-(B14-150)/4,(B14-100)-(B14-150)/2)</f>
        <v>-25</v>
      </c>
      <c r="C23" s="36"/>
      <c r="D23" s="1"/>
      <c r="E23" s="1"/>
      <c r="F23" s="61"/>
      <c r="G23" s="1"/>
    </row>
    <row r="24" spans="1:7" ht="13.5" hidden="1" thickBot="1" thickTop="1">
      <c r="A24" s="35" t="s">
        <v>42</v>
      </c>
      <c r="B24" s="35">
        <f>(B14/100)^2*AA11</f>
        <v>0</v>
      </c>
      <c r="C24" s="1"/>
      <c r="D24" s="1"/>
      <c r="E24" s="1"/>
      <c r="F24" s="61"/>
      <c r="G24" s="1"/>
    </row>
    <row r="25" spans="1:7" ht="12.75" customHeight="1" hidden="1" thickTop="1">
      <c r="A25" s="31" t="s">
        <v>26</v>
      </c>
      <c r="B25" s="32"/>
      <c r="C25" s="37"/>
      <c r="D25" s="1"/>
      <c r="E25" s="1" t="s">
        <v>27</v>
      </c>
      <c r="F25" s="61"/>
      <c r="G25" s="1"/>
    </row>
    <row r="26" spans="1:7" ht="12.75" customHeight="1" hidden="1">
      <c r="A26" s="38" t="s">
        <v>28</v>
      </c>
      <c r="B26" s="1"/>
      <c r="C26" s="39"/>
      <c r="D26" s="1"/>
      <c r="E26" s="1"/>
      <c r="F26" s="61"/>
      <c r="G26" s="1"/>
    </row>
    <row r="27" spans="1:7" ht="12.75" customHeight="1" hidden="1">
      <c r="A27" s="38" t="s">
        <v>29</v>
      </c>
      <c r="B27" s="1"/>
      <c r="C27" s="39"/>
      <c r="D27" s="1"/>
      <c r="E27" s="1"/>
      <c r="F27" s="61"/>
      <c r="G27" s="1"/>
    </row>
    <row r="28" spans="1:7" ht="12.75" customHeight="1" hidden="1" thickBot="1">
      <c r="A28" s="34" t="s">
        <v>30</v>
      </c>
      <c r="B28" s="35"/>
      <c r="C28" s="36"/>
      <c r="D28" s="1"/>
      <c r="E28" s="1" t="e">
        <f>+C28*(1.73/$B$22)</f>
        <v>#DIV/0!</v>
      </c>
      <c r="F28" s="61" t="s">
        <v>10</v>
      </c>
      <c r="G28" s="1"/>
    </row>
    <row r="29" spans="1:7" ht="13.5" hidden="1" thickBot="1" thickTop="1">
      <c r="A29" s="1"/>
      <c r="B29" s="1"/>
      <c r="C29" s="1"/>
      <c r="D29" s="1"/>
      <c r="E29" s="1"/>
      <c r="F29" s="61"/>
      <c r="G29" s="1"/>
    </row>
    <row r="30" spans="1:7" ht="12.75" customHeight="1" hidden="1" thickTop="1">
      <c r="A30" s="31" t="s">
        <v>21</v>
      </c>
      <c r="B30" s="32"/>
      <c r="C30" s="37"/>
      <c r="D30" s="1"/>
      <c r="E30" s="1"/>
      <c r="F30" s="61"/>
      <c r="G30" s="1"/>
    </row>
    <row r="31" spans="1:7" ht="12.75" customHeight="1" hidden="1">
      <c r="A31" s="38" t="s">
        <v>31</v>
      </c>
      <c r="B31" s="1"/>
      <c r="C31" s="39"/>
      <c r="D31" s="1"/>
      <c r="E31" s="1"/>
      <c r="F31" s="61"/>
      <c r="G31" s="1"/>
    </row>
    <row r="32" spans="1:7" ht="12.75" customHeight="1" hidden="1">
      <c r="A32" s="38" t="s">
        <v>32</v>
      </c>
      <c r="B32" s="1"/>
      <c r="C32" s="39"/>
      <c r="D32" s="1"/>
      <c r="E32" s="1"/>
      <c r="F32" s="61"/>
      <c r="G32" s="1"/>
    </row>
    <row r="33" spans="1:7" ht="12.75" customHeight="1" hidden="1" thickBot="1">
      <c r="A33" s="34" t="s">
        <v>33</v>
      </c>
      <c r="B33" s="35"/>
      <c r="C33" s="36"/>
      <c r="D33" s="1"/>
      <c r="E33" s="1"/>
      <c r="F33" s="61"/>
      <c r="G33" s="1"/>
    </row>
    <row r="34" spans="1:7" ht="12">
      <c r="A34" s="1" t="s">
        <v>57</v>
      </c>
      <c r="B34" s="1"/>
      <c r="C34" s="16"/>
      <c r="D34" s="1"/>
      <c r="E34" s="1" t="s">
        <v>52</v>
      </c>
      <c r="F34" s="62" t="e">
        <f>+F20/D15</f>
        <v>#VALUE!</v>
      </c>
      <c r="G34" s="1"/>
    </row>
    <row r="35" spans="1:7" ht="12">
      <c r="A35" s="1" t="s">
        <v>55</v>
      </c>
      <c r="B35" s="1"/>
      <c r="C35" s="16"/>
      <c r="D35" s="1"/>
      <c r="E35" s="1" t="s">
        <v>54</v>
      </c>
      <c r="F35" s="63">
        <f>+C21/17</f>
        <v>0</v>
      </c>
      <c r="G35" s="1"/>
    </row>
    <row r="36" spans="1:7" ht="12">
      <c r="A36" s="1" t="s">
        <v>34</v>
      </c>
      <c r="B36" s="16"/>
      <c r="C36" s="1" t="s">
        <v>35</v>
      </c>
      <c r="D36" s="16">
        <f>+C30/100*B36/1000</f>
        <v>0</v>
      </c>
      <c r="E36" s="1" t="s">
        <v>75</v>
      </c>
      <c r="G36" s="1"/>
    </row>
    <row r="37" spans="1:7" ht="12">
      <c r="A37" s="1"/>
      <c r="B37" s="1"/>
      <c r="C37" s="1"/>
      <c r="G37" s="1"/>
    </row>
    <row r="38" spans="1:7" ht="12">
      <c r="A38" s="1"/>
      <c r="B38" s="1"/>
      <c r="F38" s="1"/>
      <c r="G38" s="1"/>
    </row>
    <row r="39" spans="1:6" ht="12">
      <c r="A39" s="1"/>
      <c r="B39" s="1"/>
      <c r="D39" s="1"/>
      <c r="E39" s="1"/>
      <c r="F39" s="1"/>
    </row>
    <row r="41" ht="12">
      <c r="A41" s="64" t="s">
        <v>83</v>
      </c>
    </row>
    <row r="73" spans="3:5" ht="12">
      <c r="C73" t="s">
        <v>82</v>
      </c>
      <c r="E73" t="s">
        <v>83</v>
      </c>
    </row>
    <row r="96" ht="12" hidden="1"/>
    <row r="97" ht="12" hidden="1"/>
    <row r="98" ht="12" hidden="1"/>
    <row r="99" spans="3:5" ht="12" hidden="1">
      <c r="C99" t="s">
        <v>58</v>
      </c>
      <c r="D99" t="s">
        <v>76</v>
      </c>
      <c r="E99" t="s">
        <v>74</v>
      </c>
    </row>
    <row r="100" spans="2:5" ht="15" hidden="1">
      <c r="B100" s="57"/>
      <c r="C100" s="57">
        <v>2</v>
      </c>
      <c r="D100" s="57">
        <v>3</v>
      </c>
      <c r="E100" s="57">
        <v>4</v>
      </c>
    </row>
    <row r="101" spans="2:5" ht="15" hidden="1">
      <c r="B101" s="57" t="s">
        <v>60</v>
      </c>
      <c r="C101" s="56">
        <v>0</v>
      </c>
      <c r="D101" s="56">
        <v>1</v>
      </c>
      <c r="E101" s="56">
        <v>2</v>
      </c>
    </row>
    <row r="102" spans="2:5" ht="15" hidden="1">
      <c r="B102" s="57" t="s">
        <v>61</v>
      </c>
      <c r="C102" s="56">
        <v>0</v>
      </c>
      <c r="D102" s="56">
        <v>1</v>
      </c>
      <c r="E102" s="56">
        <v>2</v>
      </c>
    </row>
    <row r="103" spans="2:5" ht="15" hidden="1">
      <c r="B103" s="57" t="s">
        <v>68</v>
      </c>
      <c r="C103" s="56">
        <v>1</v>
      </c>
      <c r="D103" s="56">
        <v>2</v>
      </c>
      <c r="E103" s="56">
        <v>3</v>
      </c>
    </row>
    <row r="104" spans="2:5" ht="15" hidden="1">
      <c r="B104" s="57" t="s">
        <v>62</v>
      </c>
      <c r="C104" s="56">
        <v>2</v>
      </c>
      <c r="D104" s="56">
        <v>3</v>
      </c>
      <c r="E104" s="56">
        <v>3</v>
      </c>
    </row>
    <row r="105" spans="2:5" ht="15" hidden="1">
      <c r="B105" s="57" t="s">
        <v>63</v>
      </c>
      <c r="C105" s="56">
        <v>4</v>
      </c>
      <c r="D105" s="56">
        <v>4</v>
      </c>
      <c r="E105" s="56">
        <v>4</v>
      </c>
    </row>
    <row r="106" spans="2:5" ht="15" hidden="1">
      <c r="B106" s="57" t="s">
        <v>64</v>
      </c>
      <c r="C106" s="56">
        <v>4</v>
      </c>
      <c r="D106" s="56">
        <v>4</v>
      </c>
      <c r="E106" s="56">
        <v>4</v>
      </c>
    </row>
    <row r="107" spans="2:5" ht="15" hidden="1">
      <c r="B107" s="57"/>
      <c r="C107" s="56"/>
      <c r="D107" s="56"/>
      <c r="E107" s="56"/>
    </row>
    <row r="108" ht="12" hidden="1"/>
    <row r="109" ht="12" hidden="1"/>
    <row r="110" spans="1:2" ht="12" hidden="1">
      <c r="A110" t="s">
        <v>65</v>
      </c>
      <c r="B110" t="e">
        <f>+G11</f>
        <v>#DIV/0!</v>
      </c>
    </row>
    <row r="111" spans="1:6" ht="12" hidden="1">
      <c r="A111" t="s">
        <v>66</v>
      </c>
      <c r="B111" t="e">
        <f>+F14</f>
        <v>#DIV/0!</v>
      </c>
      <c r="E111">
        <v>0</v>
      </c>
      <c r="F111" t="s">
        <v>58</v>
      </c>
    </row>
    <row r="112" spans="5:6" ht="12" hidden="1">
      <c r="E112">
        <v>1</v>
      </c>
      <c r="F112" t="s">
        <v>72</v>
      </c>
    </row>
    <row r="113" spans="1:6" ht="12" hidden="1">
      <c r="A113" t="s">
        <v>77</v>
      </c>
      <c r="B113" s="13" t="e">
        <f>VLOOKUP(B110,B100:E107,HLOOKUP(B111,99:100,2,FALSE),FALSE)</f>
        <v>#DIV/0!</v>
      </c>
      <c r="E113">
        <v>2</v>
      </c>
      <c r="F113" t="s">
        <v>59</v>
      </c>
    </row>
    <row r="114" spans="5:6" ht="12" hidden="1">
      <c r="E114">
        <v>3</v>
      </c>
      <c r="F114" t="s">
        <v>71</v>
      </c>
    </row>
    <row r="115" ht="12" hidden="1"/>
    <row r="116" ht="12" hidden="1"/>
    <row r="117" ht="12" hidden="1"/>
    <row r="118" ht="12" hidden="1"/>
    <row r="119" ht="12" hidden="1"/>
    <row r="120" spans="3:5" ht="12" hidden="1">
      <c r="C120" t="s">
        <v>58</v>
      </c>
      <c r="D120" t="s">
        <v>73</v>
      </c>
      <c r="E120" t="s">
        <v>74</v>
      </c>
    </row>
    <row r="121" spans="2:7" ht="15" hidden="1">
      <c r="B121" s="57"/>
      <c r="C121" s="57">
        <v>2</v>
      </c>
      <c r="D121" s="57">
        <v>3</v>
      </c>
      <c r="E121" s="57">
        <v>4</v>
      </c>
      <c r="G121" s="59">
        <v>1</v>
      </c>
    </row>
    <row r="122" spans="2:7" ht="15" hidden="1">
      <c r="B122" s="57" t="s">
        <v>60</v>
      </c>
      <c r="C122" s="56">
        <v>0</v>
      </c>
      <c r="D122" s="56">
        <v>1</v>
      </c>
      <c r="E122" s="56">
        <v>2</v>
      </c>
      <c r="G122" s="60">
        <v>2</v>
      </c>
    </row>
    <row r="123" spans="2:7" ht="15" hidden="1">
      <c r="B123" s="57" t="s">
        <v>61</v>
      </c>
      <c r="C123" s="56">
        <v>0</v>
      </c>
      <c r="D123" s="56">
        <v>1</v>
      </c>
      <c r="E123" s="56">
        <v>2</v>
      </c>
      <c r="G123" s="60">
        <v>3</v>
      </c>
    </row>
    <row r="124" spans="2:7" ht="15" hidden="1">
      <c r="B124" s="57" t="s">
        <v>68</v>
      </c>
      <c r="C124" s="56">
        <v>1</v>
      </c>
      <c r="D124" s="56">
        <v>2</v>
      </c>
      <c r="E124" s="56">
        <v>3</v>
      </c>
      <c r="G124" s="60">
        <v>4</v>
      </c>
    </row>
    <row r="125" spans="2:7" ht="15" hidden="1">
      <c r="B125" s="57" t="s">
        <v>62</v>
      </c>
      <c r="C125" s="56">
        <v>2</v>
      </c>
      <c r="D125" s="56">
        <v>3</v>
      </c>
      <c r="E125" s="56">
        <v>3</v>
      </c>
      <c r="G125" s="60">
        <v>5</v>
      </c>
    </row>
    <row r="126" spans="2:7" ht="15" hidden="1">
      <c r="B126" s="57" t="s">
        <v>63</v>
      </c>
      <c r="C126" s="56">
        <v>4</v>
      </c>
      <c r="D126" s="56">
        <v>4</v>
      </c>
      <c r="E126" s="56">
        <v>4</v>
      </c>
      <c r="G126" s="60">
        <v>6</v>
      </c>
    </row>
    <row r="127" spans="2:7" ht="15" hidden="1">
      <c r="B127" s="57" t="s">
        <v>64</v>
      </c>
      <c r="C127" s="56">
        <v>4</v>
      </c>
      <c r="D127" s="56">
        <v>4</v>
      </c>
      <c r="E127" s="56">
        <v>4</v>
      </c>
      <c r="G127" s="60">
        <v>7</v>
      </c>
    </row>
    <row r="128" spans="2:5" ht="15" hidden="1">
      <c r="B128" s="57"/>
      <c r="C128" s="56"/>
      <c r="D128" s="56"/>
      <c r="E128" s="56"/>
    </row>
    <row r="129" spans="2:5" ht="12" hidden="1">
      <c r="B129">
        <v>1</v>
      </c>
      <c r="C129" s="56">
        <v>2</v>
      </c>
      <c r="D129" s="56">
        <v>3</v>
      </c>
      <c r="E129" s="56">
        <v>4</v>
      </c>
    </row>
    <row r="130" ht="12" hidden="1"/>
    <row r="131" spans="1:2" ht="12" hidden="1">
      <c r="A131" t="s">
        <v>65</v>
      </c>
      <c r="B131" t="e">
        <f>+G12</f>
        <v>#DIV/0!</v>
      </c>
    </row>
    <row r="132" spans="1:6" ht="12" hidden="1">
      <c r="A132" t="s">
        <v>66</v>
      </c>
      <c r="B132" t="e">
        <f>+B111</f>
        <v>#DIV/0!</v>
      </c>
      <c r="E132">
        <v>0</v>
      </c>
      <c r="F132" t="s">
        <v>58</v>
      </c>
    </row>
    <row r="133" spans="5:6" ht="12" hidden="1">
      <c r="E133">
        <v>1</v>
      </c>
      <c r="F133" t="s">
        <v>72</v>
      </c>
    </row>
    <row r="134" spans="1:6" ht="12" hidden="1">
      <c r="A134" t="s">
        <v>67</v>
      </c>
      <c r="B134" s="13" t="e">
        <f>VLOOKUP(B131,B121:E128,HLOOKUP(B132,120:121,2,FALSE),FALSE)</f>
        <v>#DIV/0!</v>
      </c>
      <c r="E134">
        <v>2</v>
      </c>
      <c r="F134" t="s">
        <v>59</v>
      </c>
    </row>
    <row r="135" spans="5:6" ht="12" hidden="1">
      <c r="E135">
        <v>3</v>
      </c>
      <c r="F135" t="s">
        <v>71</v>
      </c>
    </row>
    <row r="136" spans="1:3" ht="12" hidden="1">
      <c r="A136" t="s">
        <v>78</v>
      </c>
      <c r="B136" t="e">
        <f>MATCH(B131,B121:B127,0)</f>
        <v>#DIV/0!</v>
      </c>
      <c r="C136" t="s">
        <v>79</v>
      </c>
    </row>
    <row r="137" spans="2:3" ht="12" hidden="1">
      <c r="B137" t="e">
        <f>MATCH(B132,B120:E120,0)</f>
        <v>#DIV/0!</v>
      </c>
      <c r="C137" t="s">
        <v>80</v>
      </c>
    </row>
    <row r="138" ht="12" hidden="1"/>
    <row r="139" ht="12" hidden="1">
      <c r="B139" t="e">
        <f ca="1">OFFSET(B121,B136-1,B137-1)</f>
        <v>#DIV/0!</v>
      </c>
    </row>
    <row r="140" ht="12" hidden="1"/>
    <row r="141" ht="12" hidden="1"/>
    <row r="142" ht="12" hidden="1"/>
    <row r="143" ht="12" hidden="1"/>
  </sheetData>
  <sheetProtection password="D093" sheet="1" objects="1" scenarios="1"/>
  <dataValidations count="1">
    <dataValidation type="list" allowBlank="1" showInputMessage="1" showErrorMessage="1" sqref="B15">
      <formula1>clcr!$AA$8:$AA$9</formula1>
    </dataValidation>
  </dataValidations>
  <hyperlinks>
    <hyperlink ref="C10" r:id="rId1" display="MDRD raccom NKF GC o LC-IDMS"/>
    <hyperlink ref="C15" location="clcr!F61" display="   peso ideale "/>
    <hyperlink ref="H10" location="clcr!A65" display="DOQI"/>
    <hyperlink ref="D2" r:id="rId2" display="www.renalgate.it"/>
    <hyperlink ref="C11" r:id="rId3" display="MDRD calib tradizionale"/>
    <hyperlink ref="H11:H12" location="clcr!A65" display="DOQI"/>
  </hyperlinks>
  <printOptions/>
  <pageMargins left="0.7500000000000001" right="0.7500000000000001" top="1" bottom="1" header="0.5" footer="0.5"/>
  <pageSetup horizontalDpi="600" verticalDpi="600" orientation="landscape" paperSize="9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Consulente di Microinformatica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Giaccaglini</dc:creator>
  <cp:keywords/>
  <dc:description/>
  <cp:lastModifiedBy>zzz aaa</cp:lastModifiedBy>
  <cp:lastPrinted>2014-09-20T08:20:25Z</cp:lastPrinted>
  <dcterms:created xsi:type="dcterms:W3CDTF">1997-05-13T09:55:48Z</dcterms:created>
  <dcterms:modified xsi:type="dcterms:W3CDTF">2015-08-24T09:11:19Z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